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CDCAT\SoftWare\LSIS\"/>
    </mc:Choice>
  </mc:AlternateContent>
  <xr:revisionPtr revIDLastSave="0" documentId="8_{956A307C-80A1-4E96-B1B7-7D2EC9ACAB5B}" xr6:coauthVersionLast="36" xr6:coauthVersionMax="36" xr10:uidLastSave="{00000000-0000-0000-0000-000000000000}"/>
  <bookViews>
    <workbookView xWindow="0" yWindow="0" windowWidth="25200" windowHeight="12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N3" i="1" l="1"/>
  <c r="K3" i="1"/>
  <c r="H3" i="1"/>
  <c r="H20" i="1" l="1"/>
  <c r="E20" i="1"/>
  <c r="E3" i="1" l="1"/>
  <c r="B9" i="1"/>
  <c r="B2" i="1"/>
  <c r="B20" i="1"/>
  <c r="B21" i="1"/>
  <c r="B22" i="1"/>
  <c r="B23" i="1"/>
  <c r="B24" i="1"/>
  <c r="B25" i="1"/>
  <c r="B26" i="1"/>
  <c r="B27" i="1"/>
  <c r="B28" i="1"/>
  <c r="B29" i="1"/>
  <c r="B19" i="1"/>
  <c r="N7" i="1" l="1"/>
  <c r="K7" i="1"/>
  <c r="H7" i="1"/>
  <c r="E5" i="1"/>
  <c r="H24" i="1"/>
  <c r="H22" i="1"/>
  <c r="E24" i="1"/>
  <c r="E22" i="1"/>
  <c r="E7" i="1"/>
  <c r="H5" i="1"/>
  <c r="N5" i="1"/>
  <c r="K5" i="1"/>
  <c r="K8" i="1" l="1"/>
  <c r="K9" i="1" s="1"/>
  <c r="K10" i="1" s="1"/>
  <c r="H6" i="1"/>
  <c r="H8" i="1"/>
  <c r="H9" i="1" s="1"/>
  <c r="H10" i="1" s="1"/>
  <c r="H23" i="1"/>
  <c r="H25" i="1"/>
  <c r="H26" i="1" s="1"/>
  <c r="H27" i="1" s="1"/>
  <c r="N6" i="1"/>
  <c r="N8" i="1"/>
  <c r="N9" i="1" s="1"/>
  <c r="N10" i="1" s="1"/>
  <c r="K6" i="1"/>
</calcChain>
</file>

<file path=xl/sharedStrings.xml><?xml version="1.0" encoding="utf-8"?>
<sst xmlns="http://schemas.openxmlformats.org/spreadsheetml/2006/main" count="127" uniqueCount="62">
  <si>
    <t>Drive Speed(%)</t>
  </si>
  <si>
    <t>Power Consumption(%)</t>
  </si>
  <si>
    <t>Drive HP =</t>
  </si>
  <si>
    <t>Drive kW(HP*0.7457)=</t>
  </si>
  <si>
    <t>100% Speed (No Drive)</t>
  </si>
  <si>
    <t>Power Consumption=</t>
  </si>
  <si>
    <t>kWh</t>
  </si>
  <si>
    <t>hr</t>
  </si>
  <si>
    <t>Run Time=</t>
  </si>
  <si>
    <t>Scenario 1 W/ Drive</t>
  </si>
  <si>
    <t>Speed=</t>
  </si>
  <si>
    <t>%</t>
  </si>
  <si>
    <t>Scenario 2 W/ Drive</t>
  </si>
  <si>
    <t>Scenario 3 W/ Drive</t>
  </si>
  <si>
    <t>Electricity Cost($/kWh)</t>
  </si>
  <si>
    <t>Cost Per Hour to Run=</t>
  </si>
  <si>
    <t>$/hr</t>
  </si>
  <si>
    <t>Cable/Conduit Length (ft)</t>
  </si>
  <si>
    <t>Cable Cost/ft ($/ft)</t>
  </si>
  <si>
    <t>Conduit Cost/ft ($/ft)</t>
  </si>
  <si>
    <t>Time to Payoff Drive</t>
  </si>
  <si>
    <t>hours</t>
  </si>
  <si>
    <t>Avg run time per day(hr)</t>
  </si>
  <si>
    <t>Days to Payoff Drive</t>
  </si>
  <si>
    <t>days</t>
  </si>
  <si>
    <t>Years to Payoff Drive</t>
  </si>
  <si>
    <t>years</t>
  </si>
  <si>
    <t>Single Pump Scenarios</t>
  </si>
  <si>
    <t>Single Pump Across line vs dual pumps with drives Scenarios</t>
  </si>
  <si>
    <t>100% Speed (No Drive)-Single Pump</t>
  </si>
  <si>
    <t>Other benefits not quantified</t>
  </si>
  <si>
    <t>4. Under Load protection- detects if No flow or Pump is dry.</t>
  </si>
  <si>
    <t>Less Power than 100%=</t>
  </si>
  <si>
    <t>Total Cost of Drive ($)</t>
  </si>
  <si>
    <t>Labor Install Cost ($)</t>
  </si>
  <si>
    <t>Pump Efficiency (%)</t>
  </si>
  <si>
    <t>Motor Efficiency (%)</t>
  </si>
  <si>
    <t>VFD Efficiency (%)</t>
  </si>
  <si>
    <t>1. VFDs eliminate the need for a soft start and give the benefit of reducing water hammer, saving equipment and piping integrity</t>
  </si>
  <si>
    <t>2. Pump Clean-Can automatically detect fouling of impellor and reverse to clear it</t>
  </si>
  <si>
    <t xml:space="preserve">3. Automatic detection of broken pipes </t>
  </si>
  <si>
    <t>5. Power on Resume-If Power is lost drive will pick back up where it was running before loss of power</t>
  </si>
  <si>
    <t>6. Separate Overload Protection not needed-Drive has overload protection built in</t>
  </si>
  <si>
    <t>Drive Package Cost($)=</t>
  </si>
  <si>
    <t>Additional Pump &amp; Motor($)</t>
  </si>
  <si>
    <t>Two Pumps with Drives Slower Speed</t>
  </si>
  <si>
    <t>Industrial</t>
  </si>
  <si>
    <t>Commercial</t>
  </si>
  <si>
    <t>Pittsburgh</t>
  </si>
  <si>
    <t>Cleveland</t>
  </si>
  <si>
    <t>Columbus</t>
  </si>
  <si>
    <t>Cincinnati</t>
  </si>
  <si>
    <t>Toledo</t>
  </si>
  <si>
    <t>Louisville</t>
  </si>
  <si>
    <t>Charleston WV</t>
  </si>
  <si>
    <t>Orlando</t>
  </si>
  <si>
    <t>Jacksonville</t>
  </si>
  <si>
    <t>Tampa</t>
  </si>
  <si>
    <t>Miami</t>
  </si>
  <si>
    <t>https://www.electricitylocal.com/</t>
  </si>
  <si>
    <t>Pump Affinity Law Reference</t>
  </si>
  <si>
    <t>Average Electrical Rates 2021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</si>
</sst>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ill="1" applyBorder="1" applyAlignment="1"/>
    <xf numFmtId="0" fontId="0" fillId="0" borderId="2" xfId="0" applyBorder="1" applyProtection="1"/>
    <xf numFmtId="0" fontId="0" fillId="0" borderId="4" xfId="0" applyBorder="1" applyProtection="1"/>
    <xf numFmtId="0" fontId="0" fillId="0" borderId="4" xfId="0" applyFill="1" applyBorder="1" applyProtection="1"/>
    <xf numFmtId="0" fontId="0" fillId="0" borderId="0" xfId="0" applyProtection="1">
      <protection locked="0"/>
    </xf>
    <xf numFmtId="0" fontId="0" fillId="0" borderId="6" xfId="0" applyFill="1" applyBorder="1" applyProtection="1"/>
    <xf numFmtId="0" fontId="0" fillId="0" borderId="0" xfId="0" applyProtection="1"/>
    <xf numFmtId="0" fontId="1" fillId="0" borderId="0" xfId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0" fontId="0" fillId="0" borderId="11" xfId="0" applyBorder="1" applyProtection="1"/>
    <xf numFmtId="0" fontId="0" fillId="0" borderId="13" xfId="0" applyBorder="1" applyProtection="1"/>
    <xf numFmtId="164" fontId="0" fillId="0" borderId="11" xfId="0" applyNumberFormat="1" applyFill="1" applyBorder="1" applyProtection="1"/>
    <xf numFmtId="0" fontId="0" fillId="0" borderId="14" xfId="0" applyBorder="1" applyProtection="1"/>
    <xf numFmtId="0" fontId="0" fillId="0" borderId="12" xfId="0" applyFont="1" applyBorder="1" applyAlignment="1" applyProtection="1">
      <alignment horizontal="right"/>
    </xf>
    <xf numFmtId="0" fontId="0" fillId="0" borderId="14" xfId="0" applyFont="1" applyBorder="1" applyProtection="1"/>
    <xf numFmtId="0" fontId="0" fillId="0" borderId="4" xfId="0" applyBorder="1" applyAlignment="1" applyProtection="1">
      <alignment horizontal="right"/>
    </xf>
    <xf numFmtId="0" fontId="0" fillId="0" borderId="1" xfId="0" applyBorder="1" applyProtection="1"/>
    <xf numFmtId="0" fontId="0" fillId="0" borderId="9" xfId="0" applyBorder="1" applyProtection="1"/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Protection="1"/>
    <xf numFmtId="164" fontId="0" fillId="0" borderId="1" xfId="0" applyNumberFormat="1" applyBorder="1" applyProtection="1"/>
    <xf numFmtId="2" fontId="0" fillId="0" borderId="1" xfId="0" applyNumberFormat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Border="1" applyProtection="1"/>
    <xf numFmtId="0" fontId="0" fillId="0" borderId="21" xfId="0" applyFill="1" applyBorder="1" applyProtection="1"/>
    <xf numFmtId="0" fontId="0" fillId="0" borderId="6" xfId="0" applyBorder="1" applyAlignment="1" applyProtection="1">
      <alignment horizontal="right"/>
    </xf>
    <xf numFmtId="2" fontId="0" fillId="0" borderId="7" xfId="0" applyNumberFormat="1" applyBorder="1" applyProtection="1"/>
    <xf numFmtId="0" fontId="0" fillId="0" borderId="10" xfId="0" applyBorder="1" applyProtection="1"/>
    <xf numFmtId="0" fontId="0" fillId="0" borderId="1" xfId="0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1" fontId="0" fillId="0" borderId="1" xfId="0" applyNumberFormat="1" applyBorder="1" applyProtection="1"/>
    <xf numFmtId="0" fontId="0" fillId="0" borderId="1" xfId="0" applyFill="1" applyBorder="1" applyAlignment="1" applyProtection="1">
      <alignment horizontal="right"/>
    </xf>
    <xf numFmtId="0" fontId="0" fillId="0" borderId="6" xfId="0" applyFill="1" applyBorder="1" applyAlignment="1" applyProtection="1">
      <alignment horizontal="right"/>
    </xf>
    <xf numFmtId="0" fontId="0" fillId="0" borderId="7" xfId="0" applyBorder="1" applyProtection="1"/>
    <xf numFmtId="0" fontId="0" fillId="0" borderId="7" xfId="0" applyFill="1" applyBorder="1" applyAlignment="1" applyProtection="1">
      <alignment horizontal="right"/>
    </xf>
    <xf numFmtId="0" fontId="0" fillId="0" borderId="8" xfId="0" applyBorder="1" applyProtection="1"/>
    <xf numFmtId="0" fontId="2" fillId="0" borderId="0" xfId="0" applyFont="1" applyAlignment="1" applyProtection="1"/>
    <xf numFmtId="0" fontId="0" fillId="0" borderId="0" xfId="0" applyFill="1" applyBorder="1" applyAlignment="1" applyProtection="1">
      <alignment horizontal="right"/>
    </xf>
    <xf numFmtId="2" fontId="0" fillId="0" borderId="0" xfId="0" applyNumberForma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/>
    </xf>
    <xf numFmtId="165" fontId="0" fillId="0" borderId="1" xfId="2" applyNumberFormat="1" applyFont="1" applyBorder="1" applyAlignment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1" xfId="0" applyFont="1" applyBorder="1" applyAlignment="1" applyProtection="1">
      <alignment horizontal="center"/>
    </xf>
    <xf numFmtId="165" fontId="0" fillId="0" borderId="1" xfId="2" applyNumberFormat="1" applyFont="1" applyFill="1" applyBorder="1" applyProtection="1"/>
    <xf numFmtId="165" fontId="0" fillId="0" borderId="1" xfId="2" applyNumberFormat="1" applyFont="1" applyBorder="1" applyProtection="1"/>
    <xf numFmtId="1" fontId="0" fillId="0" borderId="1" xfId="0" applyNumberFormat="1" applyFill="1" applyBorder="1" applyProtection="1"/>
    <xf numFmtId="0" fontId="0" fillId="0" borderId="5" xfId="0" applyFill="1" applyBorder="1" applyProtection="1"/>
    <xf numFmtId="0" fontId="0" fillId="0" borderId="0" xfId="0" applyFill="1" applyBorder="1" applyAlignment="1" applyProtection="1"/>
    <xf numFmtId="0" fontId="0" fillId="0" borderId="1" xfId="0" applyFont="1" applyFill="1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1" xfId="0" applyFill="1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Alignment="1" applyProtection="1"/>
    <xf numFmtId="0" fontId="1" fillId="0" borderId="0" xfId="1" applyBorder="1" applyProtection="1"/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164" fontId="0" fillId="0" borderId="5" xfId="0" applyNumberFormat="1" applyBorder="1" applyProtection="1"/>
    <xf numFmtId="164" fontId="0" fillId="0" borderId="8" xfId="0" applyNumberFormat="1" applyBorder="1" applyProtection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gineeringtoolbox.com/affinity-laws-d_408.html" TargetMode="External"/><Relationship Id="rId1" Type="http://schemas.openxmlformats.org/officeDocument/2006/relationships/hyperlink" Target="https://www.electricitylo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selection activeCell="M31" sqref="M31"/>
    </sheetView>
  </sheetViews>
  <sheetFormatPr defaultRowHeight="15" x14ac:dyDescent="0.25"/>
  <cols>
    <col min="1" max="1" width="25.5703125" customWidth="1"/>
    <col min="2" max="2" width="22.42578125" bestFit="1" customWidth="1"/>
    <col min="3" max="3" width="2.28515625" customWidth="1"/>
    <col min="4" max="4" width="20.42578125" bestFit="1" customWidth="1"/>
    <col min="5" max="5" width="7.85546875" customWidth="1"/>
    <col min="6" max="6" width="4.85546875" customWidth="1"/>
    <col min="7" max="7" width="21.28515625" bestFit="1" customWidth="1"/>
    <col min="8" max="8" width="10.28515625" customWidth="1"/>
    <col min="9" max="9" width="5.7109375" bestFit="1" customWidth="1"/>
    <col min="10" max="10" width="21.28515625" bestFit="1" customWidth="1"/>
    <col min="11" max="11" width="8" customWidth="1"/>
    <col min="12" max="12" width="6" bestFit="1" customWidth="1"/>
    <col min="13" max="13" width="21.28515625" bestFit="1" customWidth="1"/>
    <col min="14" max="14" width="11.5703125" bestFit="1" customWidth="1"/>
    <col min="15" max="15" width="9.42578125" bestFit="1" customWidth="1"/>
    <col min="16" max="16" width="17.7109375" bestFit="1" customWidth="1"/>
    <col min="18" max="18" width="4.28515625" bestFit="1" customWidth="1"/>
  </cols>
  <sheetData>
    <row r="1" spans="1:15" ht="15.75" thickBot="1" x14ac:dyDescent="0.3">
      <c r="A1" s="7" t="s">
        <v>2</v>
      </c>
      <c r="B1" s="1">
        <v>150</v>
      </c>
      <c r="C1" s="12"/>
      <c r="D1" s="16" t="s">
        <v>27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5.75" thickBot="1" x14ac:dyDescent="0.3">
      <c r="A2" s="8" t="s">
        <v>3</v>
      </c>
      <c r="B2" s="15">
        <f>B1*0.7457</f>
        <v>111.855</v>
      </c>
      <c r="C2" s="12"/>
      <c r="D2" s="19" t="s">
        <v>4</v>
      </c>
      <c r="E2" s="20"/>
      <c r="F2" s="21"/>
      <c r="G2" s="19" t="s">
        <v>9</v>
      </c>
      <c r="H2" s="20"/>
      <c r="I2" s="22"/>
      <c r="J2" s="19" t="s">
        <v>12</v>
      </c>
      <c r="K2" s="20"/>
      <c r="L2" s="22"/>
      <c r="M2" s="23" t="s">
        <v>13</v>
      </c>
      <c r="N2" s="24"/>
      <c r="O2" s="25"/>
    </row>
    <row r="3" spans="1:15" ht="15.75" thickTop="1" x14ac:dyDescent="0.25">
      <c r="A3" s="8" t="s">
        <v>43</v>
      </c>
      <c r="B3" s="2">
        <v>13000</v>
      </c>
      <c r="C3" s="12"/>
      <c r="D3" s="26" t="s">
        <v>8</v>
      </c>
      <c r="E3" s="27">
        <f>B10</f>
        <v>8</v>
      </c>
      <c r="F3" s="28" t="s">
        <v>7</v>
      </c>
      <c r="G3" s="26" t="s">
        <v>8</v>
      </c>
      <c r="H3" s="29">
        <f>$B$10/(H4/100)</f>
        <v>10</v>
      </c>
      <c r="I3" s="30" t="s">
        <v>7</v>
      </c>
      <c r="J3" s="26" t="s">
        <v>8</v>
      </c>
      <c r="K3" s="29">
        <f>$B$10/(K4/100)</f>
        <v>11.428571428571429</v>
      </c>
      <c r="L3" s="30" t="s">
        <v>7</v>
      </c>
      <c r="M3" s="31" t="s">
        <v>8</v>
      </c>
      <c r="N3" s="29">
        <f>$B$10/(N4/100)</f>
        <v>13.333333333333334</v>
      </c>
      <c r="O3" s="32" t="s">
        <v>7</v>
      </c>
    </row>
    <row r="4" spans="1:15" x14ac:dyDescent="0.25">
      <c r="A4" s="9" t="s">
        <v>14</v>
      </c>
      <c r="B4" s="2">
        <v>0.06</v>
      </c>
      <c r="C4" s="12"/>
      <c r="D4" s="33" t="s">
        <v>10</v>
      </c>
      <c r="E4" s="34">
        <v>100</v>
      </c>
      <c r="F4" s="35" t="s">
        <v>11</v>
      </c>
      <c r="G4" s="33" t="s">
        <v>10</v>
      </c>
      <c r="H4" s="4">
        <v>80</v>
      </c>
      <c r="I4" s="15" t="s">
        <v>11</v>
      </c>
      <c r="J4" s="33" t="s">
        <v>10</v>
      </c>
      <c r="K4" s="4">
        <v>70</v>
      </c>
      <c r="L4" s="15" t="s">
        <v>11</v>
      </c>
      <c r="M4" s="36" t="s">
        <v>10</v>
      </c>
      <c r="N4" s="5">
        <v>60</v>
      </c>
      <c r="O4" s="37" t="s">
        <v>11</v>
      </c>
    </row>
    <row r="5" spans="1:15" x14ac:dyDescent="0.25">
      <c r="A5" s="9" t="s">
        <v>18</v>
      </c>
      <c r="B5" s="2">
        <v>5.3</v>
      </c>
      <c r="C5" s="12"/>
      <c r="D5" s="33" t="s">
        <v>5</v>
      </c>
      <c r="E5" s="38">
        <f>$B$2*E3/(($B$12/100)*($B$13/100))</f>
        <v>1169.7254901960785</v>
      </c>
      <c r="F5" s="35" t="s">
        <v>6</v>
      </c>
      <c r="G5" s="33" t="s">
        <v>5</v>
      </c>
      <c r="H5" s="39">
        <f>IF(H4&gt;=50,($B$2*H3)*((H4/100)^3)/(($B$12/100)*($B$13/100)*($B$14/100)),"Min 50%")</f>
        <v>788.02559339525294</v>
      </c>
      <c r="I5" s="15" t="s">
        <v>6</v>
      </c>
      <c r="J5" s="33" t="s">
        <v>5</v>
      </c>
      <c r="K5" s="39">
        <f>IF(K4&gt;=50,($B$2*K3)*((K4/100)^3)/(($B$12/100)*($B$13/100)*($B$14/100)),"Min 50%")</f>
        <v>603.33209494324035</v>
      </c>
      <c r="L5" s="15" t="s">
        <v>6</v>
      </c>
      <c r="M5" s="36" t="s">
        <v>5</v>
      </c>
      <c r="N5" s="39">
        <f>IF(N4&gt;=50,($B$2*N3)*((N4/100)^3)/(($B$12/100)*($B$13/100)*($B$14/100)),"Min 50%")</f>
        <v>443.26439628482973</v>
      </c>
      <c r="O5" s="37" t="s">
        <v>6</v>
      </c>
    </row>
    <row r="6" spans="1:15" x14ac:dyDescent="0.25">
      <c r="A6" s="9" t="s">
        <v>19</v>
      </c>
      <c r="B6" s="2">
        <v>19.2</v>
      </c>
      <c r="C6" s="12"/>
      <c r="D6" s="33"/>
      <c r="E6" s="34"/>
      <c r="F6" s="35"/>
      <c r="G6" s="40" t="s">
        <v>32</v>
      </c>
      <c r="H6" s="41">
        <f>(($E$5-H5)/$E$5)*100</f>
        <v>32.631578947368411</v>
      </c>
      <c r="I6" s="42" t="s">
        <v>11</v>
      </c>
      <c r="J6" s="40" t="s">
        <v>32</v>
      </c>
      <c r="K6" s="41">
        <f>(($E$5-K5)/$E$5)*100</f>
        <v>48.421052631578959</v>
      </c>
      <c r="L6" s="42" t="s">
        <v>11</v>
      </c>
      <c r="M6" s="40" t="s">
        <v>32</v>
      </c>
      <c r="N6" s="41">
        <f>(($E$5-N5)/$E$5)*100</f>
        <v>62.10526315789474</v>
      </c>
      <c r="O6" s="42" t="s">
        <v>11</v>
      </c>
    </row>
    <row r="7" spans="1:15" ht="15.75" thickBot="1" x14ac:dyDescent="0.3">
      <c r="A7" s="9" t="s">
        <v>17</v>
      </c>
      <c r="B7" s="2">
        <v>50</v>
      </c>
      <c r="C7" s="12"/>
      <c r="D7" s="43" t="s">
        <v>15</v>
      </c>
      <c r="E7" s="44">
        <f>$B$2*$B$4/(($B$12/100)*($B$13/100))</f>
        <v>8.7729411764705869</v>
      </c>
      <c r="F7" s="45" t="s">
        <v>16</v>
      </c>
      <c r="G7" s="33" t="s">
        <v>15</v>
      </c>
      <c r="H7" s="39">
        <f>IF(H4&gt;=50,($B$2*$B$4)*((H4/100)^3)/(($B$12/100)*($B$13/100)*($B$14/100)),"Min 50%")</f>
        <v>4.7281535603715179</v>
      </c>
      <c r="I7" s="34" t="s">
        <v>16</v>
      </c>
      <c r="J7" s="46" t="s">
        <v>15</v>
      </c>
      <c r="K7" s="39">
        <f>IF(K4&gt;=50,($B$2*$B$4)*((K4/100)^3)/(($B$12/100)*($B$13/100)*($B$14/100)),"Min 50%")</f>
        <v>3.1674934984520116</v>
      </c>
      <c r="L7" s="34" t="s">
        <v>16</v>
      </c>
      <c r="M7" s="46" t="s">
        <v>15</v>
      </c>
      <c r="N7" s="39">
        <f>IF(N4&gt;=50,($B$2*$B$4)*((N4/100)^3)/(($B$12/100)*($B$13/100)*($B$14/100)),"Min 50%")</f>
        <v>1.9946897832817334</v>
      </c>
      <c r="O7" s="15" t="s">
        <v>16</v>
      </c>
    </row>
    <row r="8" spans="1:15" x14ac:dyDescent="0.25">
      <c r="A8" s="9" t="s">
        <v>34</v>
      </c>
      <c r="B8" s="2">
        <v>1440</v>
      </c>
      <c r="C8" s="12"/>
      <c r="D8" s="12"/>
      <c r="E8" s="12"/>
      <c r="F8" s="12"/>
      <c r="G8" s="47" t="s">
        <v>20</v>
      </c>
      <c r="H8" s="48">
        <f>$B$9/($E$7-H7)</f>
        <v>3872.885670844656</v>
      </c>
      <c r="I8" s="34" t="s">
        <v>21</v>
      </c>
      <c r="J8" s="49" t="s">
        <v>20</v>
      </c>
      <c r="K8" s="48">
        <f>$B$9/($E$7-K7)</f>
        <v>2794.6028399175593</v>
      </c>
      <c r="L8" s="34" t="s">
        <v>21</v>
      </c>
      <c r="M8" s="49" t="s">
        <v>20</v>
      </c>
      <c r="N8" s="48">
        <f>$B$9/($E$7-N7)</f>
        <v>2311.0680161171099</v>
      </c>
      <c r="O8" s="15" t="s">
        <v>21</v>
      </c>
    </row>
    <row r="9" spans="1:15" x14ac:dyDescent="0.25">
      <c r="A9" s="9" t="s">
        <v>33</v>
      </c>
      <c r="B9" s="15">
        <f>B3+((B5+B6)*B7)+B8</f>
        <v>15665</v>
      </c>
      <c r="C9" s="12"/>
      <c r="D9" s="12"/>
      <c r="E9" s="12"/>
      <c r="F9" s="12"/>
      <c r="G9" s="47" t="s">
        <v>23</v>
      </c>
      <c r="H9" s="48">
        <f>H8/H3</f>
        <v>387.28856708446563</v>
      </c>
      <c r="I9" s="34" t="s">
        <v>24</v>
      </c>
      <c r="J9" s="49" t="s">
        <v>23</v>
      </c>
      <c r="K9" s="48">
        <f>K8/K3</f>
        <v>244.52774849278643</v>
      </c>
      <c r="L9" s="34" t="s">
        <v>24</v>
      </c>
      <c r="M9" s="49" t="s">
        <v>23</v>
      </c>
      <c r="N9" s="48">
        <f>N8/N3</f>
        <v>173.33010120878325</v>
      </c>
      <c r="O9" s="15" t="s">
        <v>24</v>
      </c>
    </row>
    <row r="10" spans="1:15" ht="15.75" thickBot="1" x14ac:dyDescent="0.3">
      <c r="A10" s="9" t="s">
        <v>22</v>
      </c>
      <c r="B10" s="2">
        <v>8</v>
      </c>
      <c r="C10" s="12"/>
      <c r="D10" s="12"/>
      <c r="E10" s="12"/>
      <c r="F10" s="12"/>
      <c r="G10" s="50" t="s">
        <v>25</v>
      </c>
      <c r="H10" s="44">
        <f>H9/365</f>
        <v>1.0610645673547003</v>
      </c>
      <c r="I10" s="51" t="s">
        <v>26</v>
      </c>
      <c r="J10" s="52" t="s">
        <v>25</v>
      </c>
      <c r="K10" s="44">
        <f>K9/365</f>
        <v>0.66993903696653812</v>
      </c>
      <c r="L10" s="51" t="s">
        <v>26</v>
      </c>
      <c r="M10" s="52" t="s">
        <v>25</v>
      </c>
      <c r="N10" s="44">
        <f>N9/365</f>
        <v>0.47487698961310476</v>
      </c>
      <c r="O10" s="53" t="s">
        <v>26</v>
      </c>
    </row>
    <row r="11" spans="1:15" x14ac:dyDescent="0.25">
      <c r="A11" s="9" t="s">
        <v>44</v>
      </c>
      <c r="B11" s="2">
        <v>5000</v>
      </c>
      <c r="C11" s="12"/>
      <c r="D11" s="54" t="s">
        <v>30</v>
      </c>
      <c r="E11" s="12"/>
      <c r="F11" s="12"/>
      <c r="G11" s="55"/>
      <c r="H11" s="56"/>
      <c r="I11" s="57"/>
      <c r="J11" s="55"/>
      <c r="K11" s="56"/>
      <c r="L11" s="57"/>
      <c r="M11" s="55"/>
      <c r="N11" s="56"/>
      <c r="O11" s="57"/>
    </row>
    <row r="12" spans="1:15" x14ac:dyDescent="0.25">
      <c r="A12" s="9" t="s">
        <v>35</v>
      </c>
      <c r="B12" s="2">
        <v>85</v>
      </c>
      <c r="C12" s="12"/>
      <c r="D12" s="58" t="s">
        <v>38</v>
      </c>
      <c r="E12" s="12"/>
      <c r="F12" s="12"/>
      <c r="G12" s="12"/>
      <c r="H12" s="56"/>
      <c r="I12" s="57"/>
      <c r="J12" s="55"/>
      <c r="K12" s="56"/>
      <c r="L12" s="57"/>
      <c r="M12" s="55"/>
      <c r="N12" s="56"/>
      <c r="O12" s="57"/>
    </row>
    <row r="13" spans="1:15" x14ac:dyDescent="0.25">
      <c r="A13" s="9" t="s">
        <v>36</v>
      </c>
      <c r="B13" s="2">
        <v>90</v>
      </c>
      <c r="C13" s="12"/>
      <c r="D13" s="58" t="s">
        <v>39</v>
      </c>
      <c r="E13" s="12"/>
      <c r="F13" s="12"/>
      <c r="G13" s="12"/>
      <c r="H13" s="56"/>
      <c r="I13" s="57"/>
      <c r="J13" s="55"/>
      <c r="K13" s="56"/>
      <c r="L13" s="57"/>
      <c r="M13" s="55"/>
      <c r="N13" s="56"/>
      <c r="O13" s="57"/>
    </row>
    <row r="14" spans="1:15" ht="15.75" thickBot="1" x14ac:dyDescent="0.3">
      <c r="A14" s="11" t="s">
        <v>37</v>
      </c>
      <c r="B14" s="3">
        <v>95</v>
      </c>
      <c r="C14" s="12"/>
      <c r="D14" s="58" t="s">
        <v>40</v>
      </c>
      <c r="E14" s="12"/>
      <c r="F14" s="12"/>
      <c r="G14" s="12"/>
      <c r="H14" s="56"/>
      <c r="I14" s="57"/>
      <c r="J14" s="55"/>
      <c r="K14" s="56"/>
      <c r="L14" s="57"/>
      <c r="M14" s="55"/>
      <c r="N14" s="56"/>
      <c r="O14" s="57"/>
    </row>
    <row r="15" spans="1:15" x14ac:dyDescent="0.25">
      <c r="A15" s="12"/>
      <c r="B15" s="12"/>
      <c r="C15" s="12"/>
      <c r="D15" s="59" t="s">
        <v>31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3" t="s">
        <v>60</v>
      </c>
      <c r="B16" s="12"/>
      <c r="C16" s="12"/>
      <c r="D16" s="59" t="s">
        <v>41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6" ht="15.75" thickBot="1" x14ac:dyDescent="0.3">
      <c r="A17" s="12"/>
      <c r="B17" s="13"/>
      <c r="C17" s="12"/>
      <c r="D17" s="59" t="s">
        <v>42</v>
      </c>
      <c r="E17" s="12"/>
      <c r="F17" s="12"/>
      <c r="G17" s="12"/>
      <c r="H17" s="12"/>
      <c r="I17" s="12"/>
      <c r="J17" s="12"/>
      <c r="K17" s="12"/>
      <c r="L17" s="12"/>
      <c r="M17" s="60" t="s">
        <v>61</v>
      </c>
      <c r="N17" s="60"/>
      <c r="O17" s="60"/>
    </row>
    <row r="18" spans="1:16" ht="15.75" thickBot="1" x14ac:dyDescent="0.3">
      <c r="A18" s="7" t="s">
        <v>0</v>
      </c>
      <c r="B18" s="88" t="s">
        <v>1</v>
      </c>
      <c r="C18" s="12"/>
      <c r="D18" s="61" t="s">
        <v>28</v>
      </c>
      <c r="E18" s="62"/>
      <c r="F18" s="62"/>
      <c r="G18" s="62"/>
      <c r="H18" s="62"/>
      <c r="I18" s="63"/>
      <c r="J18" s="12"/>
      <c r="K18" s="64"/>
      <c r="L18" s="64"/>
      <c r="M18" s="65"/>
      <c r="N18" s="66" t="s">
        <v>47</v>
      </c>
      <c r="O18" s="66" t="s">
        <v>46</v>
      </c>
      <c r="P18" s="6"/>
    </row>
    <row r="19" spans="1:16" x14ac:dyDescent="0.25">
      <c r="A19" s="8">
        <v>100</v>
      </c>
      <c r="B19" s="89">
        <f>((A19/100)^3)*100</f>
        <v>100</v>
      </c>
      <c r="C19" s="12"/>
      <c r="D19" s="67" t="s">
        <v>29</v>
      </c>
      <c r="E19" s="68"/>
      <c r="F19" s="69"/>
      <c r="G19" s="67" t="s">
        <v>45</v>
      </c>
      <c r="H19" s="68"/>
      <c r="I19" s="70"/>
      <c r="J19" s="12"/>
      <c r="K19" s="64"/>
      <c r="L19" s="64"/>
      <c r="M19" s="65" t="s">
        <v>48</v>
      </c>
      <c r="N19" s="71">
        <v>3.7199999999999997E-2</v>
      </c>
      <c r="O19" s="72">
        <v>1.35E-2</v>
      </c>
    </row>
    <row r="20" spans="1:16" x14ac:dyDescent="0.25">
      <c r="A20" s="8">
        <v>95</v>
      </c>
      <c r="B20" s="89">
        <f t="shared" ref="B20:B29" si="0">((A20/100)^3)*100</f>
        <v>85.737499999999983</v>
      </c>
      <c r="C20" s="12"/>
      <c r="D20" s="33" t="s">
        <v>8</v>
      </c>
      <c r="E20" s="38">
        <f>B10</f>
        <v>8</v>
      </c>
      <c r="F20" s="35" t="s">
        <v>7</v>
      </c>
      <c r="G20" s="33" t="s">
        <v>8</v>
      </c>
      <c r="H20" s="73">
        <f>B10</f>
        <v>8</v>
      </c>
      <c r="I20" s="15" t="s">
        <v>7</v>
      </c>
      <c r="J20" s="12"/>
      <c r="K20" s="74"/>
      <c r="L20" s="57"/>
      <c r="M20" s="75" t="s">
        <v>49</v>
      </c>
      <c r="N20" s="76">
        <v>0.1187</v>
      </c>
      <c r="O20" s="77">
        <v>7.3000000000000001E-3</v>
      </c>
    </row>
    <row r="21" spans="1:16" x14ac:dyDescent="0.25">
      <c r="A21" s="8">
        <v>90</v>
      </c>
      <c r="B21" s="89">
        <f t="shared" si="0"/>
        <v>72.900000000000006</v>
      </c>
      <c r="C21" s="12"/>
      <c r="D21" s="33" t="s">
        <v>10</v>
      </c>
      <c r="E21" s="34">
        <v>100</v>
      </c>
      <c r="F21" s="35" t="s">
        <v>11</v>
      </c>
      <c r="G21" s="33" t="s">
        <v>10</v>
      </c>
      <c r="H21" s="78">
        <f>(E21/2)/(B14/100)/(B13/100)/(B12/100)</f>
        <v>68.799449604403165</v>
      </c>
      <c r="I21" s="15" t="s">
        <v>11</v>
      </c>
      <c r="J21" s="12"/>
      <c r="K21" s="74"/>
      <c r="L21" s="57"/>
      <c r="M21" s="75" t="s">
        <v>50</v>
      </c>
      <c r="N21" s="76">
        <v>0.113</v>
      </c>
      <c r="O21" s="77">
        <v>8.4500000000000006E-2</v>
      </c>
    </row>
    <row r="22" spans="1:16" x14ac:dyDescent="0.25">
      <c r="A22" s="8">
        <v>85</v>
      </c>
      <c r="B22" s="89">
        <f t="shared" si="0"/>
        <v>61.412499999999994</v>
      </c>
      <c r="C22" s="12"/>
      <c r="D22" s="33" t="s">
        <v>5</v>
      </c>
      <c r="E22" s="38">
        <f>$B$2*E20/(($B$12/100)*($B$13/100))</f>
        <v>1169.7254901960785</v>
      </c>
      <c r="F22" s="35" t="s">
        <v>6</v>
      </c>
      <c r="G22" s="33" t="s">
        <v>5</v>
      </c>
      <c r="H22" s="39">
        <f>($B$2*H20)*((H21/100)^3)/(($B$12/100)*($B$13/100)*($B$14/100))*2</f>
        <v>801.94620406930562</v>
      </c>
      <c r="I22" s="15" t="s">
        <v>6</v>
      </c>
      <c r="J22" s="64"/>
      <c r="K22" s="56"/>
      <c r="L22" s="57"/>
      <c r="M22" s="75" t="s">
        <v>51</v>
      </c>
      <c r="N22" s="77">
        <v>4.2799999999999998E-2</v>
      </c>
      <c r="O22" s="77">
        <v>1.3899999999999999E-2</v>
      </c>
    </row>
    <row r="23" spans="1:16" x14ac:dyDescent="0.25">
      <c r="A23" s="8">
        <v>80</v>
      </c>
      <c r="B23" s="89">
        <f t="shared" si="0"/>
        <v>51.20000000000001</v>
      </c>
      <c r="C23" s="12"/>
      <c r="D23" s="33"/>
      <c r="E23" s="34"/>
      <c r="F23" s="35"/>
      <c r="G23" s="47" t="s">
        <v>32</v>
      </c>
      <c r="H23" s="38">
        <f>(($E$22-H22)/$E$22)*100</f>
        <v>31.441503943384429</v>
      </c>
      <c r="I23" s="79" t="s">
        <v>11</v>
      </c>
      <c r="J23" s="80"/>
      <c r="K23" s="56"/>
      <c r="L23" s="74"/>
      <c r="M23" s="81" t="s">
        <v>52</v>
      </c>
      <c r="N23" s="77">
        <v>5.1900000000000002E-2</v>
      </c>
      <c r="O23" s="76">
        <v>1.55E-2</v>
      </c>
    </row>
    <row r="24" spans="1:16" ht="15.75" thickBot="1" x14ac:dyDescent="0.3">
      <c r="A24" s="8">
        <v>75</v>
      </c>
      <c r="B24" s="89">
        <f t="shared" si="0"/>
        <v>42.1875</v>
      </c>
      <c r="C24" s="12"/>
      <c r="D24" s="43" t="s">
        <v>15</v>
      </c>
      <c r="E24" s="44">
        <f>$B$2*$B$4/(($B$12/100)*($B$13/100))</f>
        <v>8.7729411764705869</v>
      </c>
      <c r="F24" s="45" t="s">
        <v>16</v>
      </c>
      <c r="G24" s="33" t="s">
        <v>15</v>
      </c>
      <c r="H24" s="39">
        <f>($B$2*$B$4)*((H21/100)^3)/(($B$12/100)*($B$13/100)*($B$14/100))*2</f>
        <v>6.0145965305197926</v>
      </c>
      <c r="I24" s="15" t="s">
        <v>16</v>
      </c>
      <c r="J24" s="64"/>
      <c r="K24" s="56"/>
      <c r="L24" s="57"/>
      <c r="M24" s="65" t="s">
        <v>53</v>
      </c>
      <c r="N24" s="77">
        <v>8.3400000000000002E-2</v>
      </c>
      <c r="O24" s="77">
        <v>6.1699999999999998E-2</v>
      </c>
    </row>
    <row r="25" spans="1:16" x14ac:dyDescent="0.25">
      <c r="A25" s="8">
        <v>70</v>
      </c>
      <c r="B25" s="89">
        <f t="shared" si="0"/>
        <v>34.29999999999999</v>
      </c>
      <c r="C25" s="12"/>
      <c r="D25" s="57"/>
      <c r="E25" s="57"/>
      <c r="F25" s="57"/>
      <c r="G25" s="47" t="s">
        <v>20</v>
      </c>
      <c r="H25" s="48">
        <f>(($B$9*2)+$B$11)/($E$24-H24)</f>
        <v>13170.942961508403</v>
      </c>
      <c r="I25" s="15" t="s">
        <v>21</v>
      </c>
      <c r="J25" s="80"/>
      <c r="K25" s="82"/>
      <c r="L25" s="57"/>
      <c r="M25" s="83" t="s">
        <v>54</v>
      </c>
      <c r="N25" s="77">
        <v>8.4699999999999998E-2</v>
      </c>
      <c r="O25" s="77">
        <v>6.4899999999999999E-2</v>
      </c>
    </row>
    <row r="26" spans="1:16" x14ac:dyDescent="0.25">
      <c r="A26" s="8">
        <v>65</v>
      </c>
      <c r="B26" s="89">
        <f t="shared" si="0"/>
        <v>27.462500000000006</v>
      </c>
      <c r="C26" s="12"/>
      <c r="D26" s="57"/>
      <c r="E26" s="57"/>
      <c r="F26" s="57"/>
      <c r="G26" s="47" t="s">
        <v>23</v>
      </c>
      <c r="H26" s="48">
        <f>H25/H20</f>
        <v>1646.3678701885503</v>
      </c>
      <c r="I26" s="15" t="s">
        <v>24</v>
      </c>
      <c r="J26" s="55"/>
      <c r="K26" s="82"/>
      <c r="L26" s="57"/>
      <c r="M26" s="83" t="s">
        <v>55</v>
      </c>
      <c r="N26" s="77">
        <v>9.3799999999999994E-2</v>
      </c>
      <c r="O26" s="77">
        <v>8.0399999999999999E-2</v>
      </c>
    </row>
    <row r="27" spans="1:16" ht="15.75" thickBot="1" x14ac:dyDescent="0.3">
      <c r="A27" s="8">
        <v>60</v>
      </c>
      <c r="B27" s="89">
        <f t="shared" si="0"/>
        <v>21.6</v>
      </c>
      <c r="C27" s="12"/>
      <c r="D27" s="57"/>
      <c r="E27" s="57"/>
      <c r="F27" s="57"/>
      <c r="G27" s="50" t="s">
        <v>25</v>
      </c>
      <c r="H27" s="44">
        <f>H26/365</f>
        <v>4.5105969046261656</v>
      </c>
      <c r="I27" s="53" t="s">
        <v>26</v>
      </c>
      <c r="J27" s="55"/>
      <c r="K27" s="84"/>
      <c r="L27" s="57"/>
      <c r="M27" s="83" t="s">
        <v>56</v>
      </c>
      <c r="N27" s="77">
        <v>0.128</v>
      </c>
      <c r="O27" s="77">
        <v>5.91E-2</v>
      </c>
    </row>
    <row r="28" spans="1:16" x14ac:dyDescent="0.25">
      <c r="A28" s="8">
        <v>55</v>
      </c>
      <c r="B28" s="89">
        <f t="shared" si="0"/>
        <v>16.637500000000006</v>
      </c>
      <c r="C28" s="12"/>
      <c r="D28" s="57"/>
      <c r="E28" s="57"/>
      <c r="F28" s="57"/>
      <c r="G28" s="57"/>
      <c r="H28" s="57"/>
      <c r="I28" s="57"/>
      <c r="J28" s="57"/>
      <c r="K28" s="57"/>
      <c r="L28" s="57"/>
      <c r="M28" s="83" t="s">
        <v>57</v>
      </c>
      <c r="N28" s="77">
        <v>0.1021</v>
      </c>
      <c r="O28" s="77">
        <v>8.8400000000000006E-2</v>
      </c>
    </row>
    <row r="29" spans="1:16" ht="15.75" thickBot="1" x14ac:dyDescent="0.3">
      <c r="A29" s="14">
        <v>50</v>
      </c>
      <c r="B29" s="90">
        <f t="shared" si="0"/>
        <v>12.5</v>
      </c>
      <c r="C29" s="12"/>
      <c r="D29" s="85"/>
      <c r="E29" s="57"/>
      <c r="F29" s="86"/>
      <c r="G29" s="57"/>
      <c r="H29" s="57"/>
      <c r="I29" s="57"/>
      <c r="J29" s="57"/>
      <c r="K29" s="57"/>
      <c r="L29" s="57"/>
      <c r="M29" s="83" t="s">
        <v>58</v>
      </c>
      <c r="N29" s="77">
        <v>8.72E-2</v>
      </c>
      <c r="O29" s="77">
        <v>6.8199999999999997E-2</v>
      </c>
    </row>
    <row r="30" spans="1:16" x14ac:dyDescent="0.25">
      <c r="A30" s="10"/>
      <c r="B30" s="10"/>
      <c r="C30" s="12"/>
      <c r="D30" s="57"/>
      <c r="E30" s="57"/>
      <c r="F30" s="57"/>
      <c r="G30" s="57"/>
      <c r="H30" s="57"/>
      <c r="I30" s="57"/>
      <c r="J30" s="57"/>
      <c r="K30" s="57"/>
      <c r="L30" s="57"/>
      <c r="M30" s="87"/>
      <c r="N30" s="57"/>
      <c r="O30" s="57"/>
    </row>
    <row r="31" spans="1:16" x14ac:dyDescent="0.25">
      <c r="A31" s="10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 t="s">
        <v>59</v>
      </c>
      <c r="N31" s="12"/>
      <c r="O31" s="12"/>
    </row>
    <row r="32" spans="1:1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sheetProtection sheet="1" objects="1" scenarios="1"/>
  <mergeCells count="9">
    <mergeCell ref="J2:L2"/>
    <mergeCell ref="M2:O2"/>
    <mergeCell ref="D1:O1"/>
    <mergeCell ref="D19:F19"/>
    <mergeCell ref="G19:I19"/>
    <mergeCell ref="D18:I18"/>
    <mergeCell ref="D2:F2"/>
    <mergeCell ref="G2:I2"/>
    <mergeCell ref="M17:O17"/>
  </mergeCells>
  <hyperlinks>
    <hyperlink ref="M31" r:id="rId1" xr:uid="{00000000-0004-0000-0000-000000000000}"/>
    <hyperlink ref="A16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Backman</dc:creator>
  <cp:lastModifiedBy>Matt Backman</cp:lastModifiedBy>
  <dcterms:created xsi:type="dcterms:W3CDTF">2020-03-18T11:27:32Z</dcterms:created>
  <dcterms:modified xsi:type="dcterms:W3CDTF">2021-10-04T13:04:53Z</dcterms:modified>
</cp:coreProperties>
</file>